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2995" windowHeight="10185" activeTab="0"/>
  </bookViews>
  <sheets>
    <sheet name="2016 г  (6)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<sst xmlns="http://schemas.openxmlformats.org/spreadsheetml/2006/main" count="67" uniqueCount="49">
  <si>
    <t>Р А С Ш И  Ф Р О В К А</t>
  </si>
  <si>
    <t>Показатели</t>
  </si>
  <si>
    <t>Ед.изм.</t>
  </si>
  <si>
    <t>январь</t>
  </si>
  <si>
    <t xml:space="preserve">  мз</t>
  </si>
  <si>
    <t>квт.ч.</t>
  </si>
  <si>
    <t>мз</t>
  </si>
  <si>
    <t>квт.ч</t>
  </si>
  <si>
    <t>февраль</t>
  </si>
  <si>
    <t>расход  эл.энергии на 1 мз</t>
  </si>
  <si>
    <t>эл.энергия- теплосеть</t>
  </si>
  <si>
    <t>эл.энергия -теплосеть</t>
  </si>
  <si>
    <t xml:space="preserve">отклоне      ния </t>
  </si>
  <si>
    <t>март</t>
  </si>
  <si>
    <t>1 квартал</t>
  </si>
  <si>
    <t xml:space="preserve">отклонения </t>
  </si>
  <si>
    <t>Апрель</t>
  </si>
  <si>
    <t>Май</t>
  </si>
  <si>
    <t>Июнь</t>
  </si>
  <si>
    <t>9 месяцев</t>
  </si>
  <si>
    <t>Год</t>
  </si>
  <si>
    <t>2 квартал</t>
  </si>
  <si>
    <t>Отклонения</t>
  </si>
  <si>
    <t>3 квартал</t>
  </si>
  <si>
    <t>4 квартал</t>
  </si>
  <si>
    <t>Административное здание, производственный цех</t>
  </si>
  <si>
    <t xml:space="preserve">МУП "Водоканал" </t>
  </si>
  <si>
    <t xml:space="preserve">откло   нения </t>
  </si>
  <si>
    <t>отклонения</t>
  </si>
  <si>
    <t xml:space="preserve">полугодие </t>
  </si>
  <si>
    <t>август</t>
  </si>
  <si>
    <t>сентябрь</t>
  </si>
  <si>
    <t>июль</t>
  </si>
  <si>
    <t>Водоотведение</t>
  </si>
  <si>
    <t>Очистка</t>
  </si>
  <si>
    <t>Экономист                                     Дыкина В.Г.</t>
  </si>
  <si>
    <t>фактического   расхода  электроэнергии  за  2015 - 2016 г.г.</t>
  </si>
  <si>
    <t xml:space="preserve">октябрь </t>
  </si>
  <si>
    <t xml:space="preserve">ноябрь </t>
  </si>
  <si>
    <t xml:space="preserve">декабрь </t>
  </si>
  <si>
    <t>Подъем   воды</t>
  </si>
  <si>
    <t>Перекачено стоков</t>
  </si>
  <si>
    <t>Очищено    стоков</t>
  </si>
  <si>
    <t>2</t>
  </si>
  <si>
    <t>3</t>
  </si>
  <si>
    <t>5</t>
  </si>
  <si>
    <t>6</t>
  </si>
  <si>
    <t>10</t>
  </si>
  <si>
    <t>ВСЕГО  потребление эл. Энергии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</si>
</sst>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</numFmts>
  <fonts count="46">
    <font>
      <sz val="10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33" borderId="11" xfId="0" applyNumberFormat="1" applyFont="1" applyFill="1" applyBorder="1" applyAlignment="1">
      <alignment horizontal="center"/>
    </xf>
    <xf numFmtId="1" fontId="11" fillId="33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165" fontId="9" fillId="35" borderId="11" xfId="0" applyNumberFormat="1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0" borderId="14" xfId="0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10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1" fontId="11" fillId="36" borderId="11" xfId="0" applyNumberFormat="1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" fontId="9" fillId="36" borderId="11" xfId="0" applyNumberFormat="1" applyFont="1" applyFill="1" applyBorder="1" applyAlignment="1">
      <alignment horizontal="center"/>
    </xf>
    <xf numFmtId="165" fontId="9" fillId="37" borderId="11" xfId="0" applyNumberFormat="1" applyFont="1" applyFill="1" applyBorder="1" applyAlignment="1">
      <alignment horizontal="center"/>
    </xf>
    <xf numFmtId="2" fontId="9" fillId="34" borderId="11" xfId="0" applyNumberFormat="1" applyFont="1" applyFill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/>
    </xf>
    <xf numFmtId="165" fontId="9" fillId="35" borderId="14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vertical="center" wrapText="1"/>
    </xf>
    <xf numFmtId="0" fontId="11" fillId="37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T40"/>
  <sheetViews>
    <sheetView tabSelected="1" workbookViewId="0" topLeftCell="B1">
      <selection activeCell="BN1" sqref="BN1"/>
    </sheetView>
  </sheetViews>
  <sheetFormatPr defaultColWidth="9.00390625" defaultRowHeight="15.75" customHeight="1"/>
  <cols>
    <col min="1" max="1" width="2.125" style="3" customWidth="1"/>
    <col min="2" max="2" width="17.125" style="3" customWidth="1"/>
    <col min="3" max="3" width="5.125" style="3" customWidth="1"/>
    <col min="4" max="4" width="7.75390625" style="3" hidden="1" customWidth="1"/>
    <col min="5" max="5" width="8.125" style="3" hidden="1" customWidth="1"/>
    <col min="6" max="6" width="10.875" style="3" hidden="1" customWidth="1"/>
    <col min="7" max="7" width="7.875" style="3" hidden="1" customWidth="1"/>
    <col min="8" max="8" width="9.125" style="3" hidden="1" customWidth="1"/>
    <col min="9" max="9" width="8.875" style="3" hidden="1" customWidth="1"/>
    <col min="10" max="10" width="0.12890625" style="3" hidden="1" customWidth="1"/>
    <col min="11" max="11" width="8.00390625" style="3" hidden="1" customWidth="1"/>
    <col min="12" max="12" width="8.25390625" style="3" hidden="1" customWidth="1"/>
    <col min="13" max="13" width="8.625" style="3" hidden="1" customWidth="1"/>
    <col min="14" max="14" width="0.12890625" style="3" hidden="1" customWidth="1"/>
    <col min="15" max="15" width="8.25390625" style="3" hidden="1" customWidth="1"/>
    <col min="16" max="16" width="8.125" style="3" customWidth="1"/>
    <col min="17" max="17" width="11.375" style="3" customWidth="1"/>
    <col min="18" max="18" width="6.375" style="3" hidden="1" customWidth="1"/>
    <col min="19" max="19" width="0.12890625" style="3" hidden="1" customWidth="1"/>
    <col min="20" max="20" width="11.625" style="3" hidden="1" customWidth="1"/>
    <col min="21" max="21" width="0.12890625" style="3" hidden="1" customWidth="1"/>
    <col min="22" max="22" width="9.125" style="3" hidden="1" customWidth="1"/>
    <col min="23" max="23" width="9.875" style="3" hidden="1" customWidth="1"/>
    <col min="24" max="24" width="12.375" style="3" hidden="1" customWidth="1"/>
    <col min="25" max="25" width="8.00390625" style="3" hidden="1" customWidth="1"/>
    <col min="26" max="26" width="9.00390625" style="3" hidden="1" customWidth="1"/>
    <col min="27" max="27" width="11.375" style="3" hidden="1" customWidth="1"/>
    <col min="28" max="28" width="11.25390625" style="3" hidden="1" customWidth="1"/>
    <col min="29" max="29" width="5.75390625" style="3" hidden="1" customWidth="1"/>
    <col min="30" max="30" width="11.00390625" style="3" hidden="1" customWidth="1"/>
    <col min="31" max="31" width="8.00390625" style="3" customWidth="1"/>
    <col min="32" max="32" width="14.75390625" style="3" customWidth="1"/>
    <col min="33" max="33" width="9.125" style="3" hidden="1" customWidth="1"/>
    <col min="34" max="34" width="11.625" style="3" hidden="1" customWidth="1"/>
    <col min="35" max="35" width="11.875" style="3" hidden="1" customWidth="1"/>
    <col min="36" max="36" width="0.12890625" style="3" hidden="1" customWidth="1"/>
    <col min="37" max="37" width="10.00390625" style="3" hidden="1" customWidth="1"/>
    <col min="38" max="38" width="0.12890625" style="3" customWidth="1"/>
    <col min="39" max="40" width="10.25390625" style="3" hidden="1" customWidth="1"/>
    <col min="41" max="41" width="10.125" style="3" hidden="1" customWidth="1"/>
    <col min="42" max="42" width="9.625" style="3" hidden="1" customWidth="1"/>
    <col min="43" max="43" width="9.75390625" style="3" hidden="1" customWidth="1"/>
    <col min="44" max="44" width="9.25390625" style="3" hidden="1" customWidth="1"/>
    <col min="45" max="45" width="9.375" style="3" hidden="1" customWidth="1"/>
    <col min="46" max="46" width="9.75390625" style="3" hidden="1" customWidth="1"/>
    <col min="47" max="47" width="10.125" style="3" hidden="1" customWidth="1"/>
    <col min="48" max="48" width="8.625" style="3" customWidth="1"/>
    <col min="49" max="49" width="13.00390625" style="3" customWidth="1"/>
    <col min="50" max="50" width="9.125" style="3" hidden="1" customWidth="1"/>
    <col min="51" max="51" width="9.875" style="3" hidden="1" customWidth="1"/>
    <col min="52" max="52" width="12.25390625" style="3" hidden="1" customWidth="1"/>
    <col min="53" max="53" width="0.2421875" style="3" hidden="1" customWidth="1"/>
    <col min="54" max="54" width="9.75390625" style="3" hidden="1" customWidth="1"/>
    <col min="55" max="55" width="10.25390625" style="3" hidden="1" customWidth="1"/>
    <col min="56" max="58" width="8.00390625" style="3" hidden="1" customWidth="1"/>
    <col min="59" max="59" width="11.375" style="3" hidden="1" customWidth="1"/>
    <col min="60" max="61" width="8.125" style="3" hidden="1" customWidth="1"/>
    <col min="62" max="62" width="11.75390625" style="3" hidden="1" customWidth="1"/>
    <col min="63" max="63" width="7.875" style="3" customWidth="1"/>
    <col min="64" max="64" width="11.125" style="3" customWidth="1"/>
    <col min="65" max="65" width="8.875" style="3" hidden="1" customWidth="1"/>
    <col min="66" max="66" width="8.125" style="3" customWidth="1"/>
    <col min="67" max="67" width="15.00390625" style="3" customWidth="1"/>
    <col min="68" max="68" width="9.00390625" style="3" customWidth="1"/>
    <col min="69" max="72" width="9.125" style="3" hidden="1" customWidth="1"/>
    <col min="73" max="16384" width="9.125" style="3" customWidth="1"/>
  </cols>
  <sheetData>
    <row r="1" spans="1:33" ht="15.75" customHeight="1">
      <c r="A1" s="1"/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49" ht="15.75" customHeight="1">
      <c r="A2" s="1"/>
      <c r="B2" s="106" t="s">
        <v>36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</row>
    <row r="3" spans="1:33" ht="15.75" customHeight="1">
      <c r="A3" s="1"/>
      <c r="B3" s="110" t="s">
        <v>26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27" ht="1.5" customHeight="1">
      <c r="A4" s="1"/>
      <c r="B4" s="2"/>
      <c r="C4" s="2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67" ht="15.75" customHeight="1">
      <c r="A5" s="111"/>
      <c r="B5" s="107" t="s">
        <v>1</v>
      </c>
      <c r="C5" s="113" t="s">
        <v>2</v>
      </c>
      <c r="D5" s="107" t="s">
        <v>3</v>
      </c>
      <c r="E5" s="107"/>
      <c r="F5" s="107"/>
      <c r="G5" s="107"/>
      <c r="H5" s="107" t="s">
        <v>8</v>
      </c>
      <c r="I5" s="107"/>
      <c r="J5" s="107"/>
      <c r="K5" s="107"/>
      <c r="L5" s="107" t="s">
        <v>13</v>
      </c>
      <c r="M5" s="107"/>
      <c r="N5" s="107"/>
      <c r="O5" s="107"/>
      <c r="P5" s="107" t="s">
        <v>14</v>
      </c>
      <c r="Q5" s="107"/>
      <c r="R5" s="107"/>
      <c r="S5" s="107" t="s">
        <v>16</v>
      </c>
      <c r="T5" s="107"/>
      <c r="U5" s="6"/>
      <c r="V5" s="6"/>
      <c r="W5" s="107" t="s">
        <v>17</v>
      </c>
      <c r="X5" s="107"/>
      <c r="Y5" s="107"/>
      <c r="Z5" s="107"/>
      <c r="AA5" s="107" t="s">
        <v>18</v>
      </c>
      <c r="AB5" s="107"/>
      <c r="AC5" s="107"/>
      <c r="AD5" s="107"/>
      <c r="AE5" s="107" t="s">
        <v>21</v>
      </c>
      <c r="AF5" s="107"/>
      <c r="AG5" s="107"/>
      <c r="AH5" s="107" t="s">
        <v>29</v>
      </c>
      <c r="AI5" s="107"/>
      <c r="AJ5" s="107"/>
      <c r="AK5" s="107"/>
      <c r="AL5" s="107" t="s">
        <v>32</v>
      </c>
      <c r="AM5" s="107"/>
      <c r="AN5" s="107"/>
      <c r="AO5" s="107"/>
      <c r="AP5" s="107" t="s">
        <v>30</v>
      </c>
      <c r="AQ5" s="107"/>
      <c r="AR5" s="107"/>
      <c r="AS5" s="107" t="s">
        <v>31</v>
      </c>
      <c r="AT5" s="107"/>
      <c r="AU5" s="107"/>
      <c r="AV5" s="109" t="s">
        <v>23</v>
      </c>
      <c r="AW5" s="109"/>
      <c r="AX5" s="109" t="s">
        <v>19</v>
      </c>
      <c r="AY5" s="109"/>
      <c r="AZ5" s="109"/>
      <c r="BA5" s="6" t="s">
        <v>37</v>
      </c>
      <c r="BB5" s="6"/>
      <c r="BC5" s="6"/>
      <c r="BD5" s="107" t="s">
        <v>38</v>
      </c>
      <c r="BE5" s="107"/>
      <c r="BF5" s="107"/>
      <c r="BG5" s="107"/>
      <c r="BH5" s="107" t="s">
        <v>39</v>
      </c>
      <c r="BI5" s="107"/>
      <c r="BJ5" s="107"/>
      <c r="BK5" s="107" t="s">
        <v>24</v>
      </c>
      <c r="BL5" s="107"/>
      <c r="BM5" s="107"/>
      <c r="BN5" s="107" t="s">
        <v>20</v>
      </c>
      <c r="BO5" s="107"/>
    </row>
    <row r="6" spans="1:67" ht="37.5" customHeight="1">
      <c r="A6" s="112"/>
      <c r="B6" s="107"/>
      <c r="C6" s="113"/>
      <c r="D6" s="7">
        <v>2015</v>
      </c>
      <c r="E6" s="7">
        <v>2016</v>
      </c>
      <c r="F6" s="18"/>
      <c r="G6" s="64" t="s">
        <v>15</v>
      </c>
      <c r="H6" s="10">
        <v>2015</v>
      </c>
      <c r="I6" s="10">
        <v>2016</v>
      </c>
      <c r="J6" s="10"/>
      <c r="K6" s="65" t="s">
        <v>15</v>
      </c>
      <c r="L6" s="10">
        <v>2015</v>
      </c>
      <c r="M6" s="66">
        <v>2016</v>
      </c>
      <c r="N6" s="66"/>
      <c r="O6" s="64" t="s">
        <v>15</v>
      </c>
      <c r="P6" s="10">
        <v>2015</v>
      </c>
      <c r="Q6" s="66">
        <v>2016</v>
      </c>
      <c r="R6" s="66"/>
      <c r="S6" s="10">
        <v>2015</v>
      </c>
      <c r="T6" s="66">
        <v>2016</v>
      </c>
      <c r="U6" s="66"/>
      <c r="V6" s="64" t="s">
        <v>15</v>
      </c>
      <c r="W6" s="10">
        <v>2015</v>
      </c>
      <c r="X6" s="66">
        <v>2016</v>
      </c>
      <c r="Y6" s="66"/>
      <c r="Z6" s="64" t="s">
        <v>28</v>
      </c>
      <c r="AA6" s="10">
        <v>2015</v>
      </c>
      <c r="AB6" s="10">
        <v>2016</v>
      </c>
      <c r="AC6" s="10"/>
      <c r="AD6" s="64" t="s">
        <v>12</v>
      </c>
      <c r="AE6" s="64">
        <v>2015</v>
      </c>
      <c r="AF6" s="10">
        <v>2016</v>
      </c>
      <c r="AG6" s="10"/>
      <c r="AH6" s="10">
        <v>2015</v>
      </c>
      <c r="AI6" s="10">
        <v>2016</v>
      </c>
      <c r="AJ6" s="10"/>
      <c r="AK6" s="64" t="s">
        <v>22</v>
      </c>
      <c r="AL6" s="7">
        <v>2015</v>
      </c>
      <c r="AM6" s="7">
        <v>2016</v>
      </c>
      <c r="AN6" s="7"/>
      <c r="AO6" s="8" t="s">
        <v>22</v>
      </c>
      <c r="AP6" s="7">
        <v>2015</v>
      </c>
      <c r="AQ6" s="7">
        <v>2016</v>
      </c>
      <c r="AR6" s="32" t="s">
        <v>15</v>
      </c>
      <c r="AS6" s="7">
        <v>2015</v>
      </c>
      <c r="AT6" s="7">
        <v>2016</v>
      </c>
      <c r="AU6" s="8" t="s">
        <v>12</v>
      </c>
      <c r="AV6" s="7">
        <v>2015</v>
      </c>
      <c r="AW6" s="7">
        <v>2016</v>
      </c>
      <c r="AX6" s="33">
        <v>2015</v>
      </c>
      <c r="AY6" s="7">
        <v>2016</v>
      </c>
      <c r="AZ6" s="9" t="s">
        <v>12</v>
      </c>
      <c r="BA6" s="7">
        <v>2015</v>
      </c>
      <c r="BB6" s="7">
        <v>2016</v>
      </c>
      <c r="BC6" s="11" t="s">
        <v>15</v>
      </c>
      <c r="BD6" s="27">
        <v>2015</v>
      </c>
      <c r="BE6" s="27">
        <v>2016</v>
      </c>
      <c r="BF6" s="27"/>
      <c r="BG6" s="11" t="s">
        <v>15</v>
      </c>
      <c r="BH6" s="27">
        <v>2015</v>
      </c>
      <c r="BI6" s="27">
        <v>2016</v>
      </c>
      <c r="BJ6" s="11" t="s">
        <v>27</v>
      </c>
      <c r="BK6" s="27">
        <v>2015</v>
      </c>
      <c r="BL6" s="27">
        <v>2016</v>
      </c>
      <c r="BM6" s="27"/>
      <c r="BN6" s="27">
        <v>2015</v>
      </c>
      <c r="BO6" s="27">
        <v>2016</v>
      </c>
    </row>
    <row r="7" spans="1:69" ht="15.75" customHeight="1">
      <c r="A7" s="18">
        <v>1</v>
      </c>
      <c r="B7" s="29" t="s">
        <v>40</v>
      </c>
      <c r="C7" s="18" t="s">
        <v>4</v>
      </c>
      <c r="D7" s="18">
        <v>325431</v>
      </c>
      <c r="E7" s="18">
        <v>336071</v>
      </c>
      <c r="F7" s="18"/>
      <c r="G7" s="67">
        <f>E7-D7</f>
        <v>10640</v>
      </c>
      <c r="H7" s="68">
        <v>284867</v>
      </c>
      <c r="I7" s="68">
        <v>310984</v>
      </c>
      <c r="J7" s="68">
        <f>I7-H7</f>
        <v>26117</v>
      </c>
      <c r="K7" s="69">
        <f>I7-H7</f>
        <v>26117</v>
      </c>
      <c r="L7" s="68">
        <v>316451</v>
      </c>
      <c r="M7" s="68">
        <v>327808</v>
      </c>
      <c r="N7" s="68"/>
      <c r="O7" s="67">
        <f>M7-L7</f>
        <v>11357</v>
      </c>
      <c r="P7" s="57">
        <f>D7+H7+L7</f>
        <v>926749</v>
      </c>
      <c r="Q7" s="57">
        <f>E7+I7+M7</f>
        <v>974863</v>
      </c>
      <c r="R7" s="57"/>
      <c r="S7" s="57">
        <v>307170</v>
      </c>
      <c r="T7" s="82">
        <v>476064</v>
      </c>
      <c r="U7" s="82"/>
      <c r="V7" s="83">
        <f>T7-S7</f>
        <v>168894</v>
      </c>
      <c r="W7" s="57">
        <v>333810</v>
      </c>
      <c r="X7" s="57">
        <v>342084</v>
      </c>
      <c r="Y7" s="57"/>
      <c r="Z7" s="81">
        <f>X7-W7</f>
        <v>8274</v>
      </c>
      <c r="AA7" s="57">
        <v>377745</v>
      </c>
      <c r="AB7" s="57">
        <v>446380</v>
      </c>
      <c r="AC7" s="57"/>
      <c r="AD7" s="81">
        <f>AB7-AA7</f>
        <v>68635</v>
      </c>
      <c r="AE7" s="57">
        <f>S7+W7+AA7</f>
        <v>1018725</v>
      </c>
      <c r="AF7" s="57">
        <f>T7+X7+AB7</f>
        <v>1264528</v>
      </c>
      <c r="AG7" s="82"/>
      <c r="AH7" s="57">
        <f>P7+AE7</f>
        <v>1945474</v>
      </c>
      <c r="AI7" s="82">
        <f>Q7+AF7</f>
        <v>2239391</v>
      </c>
      <c r="AJ7" s="57"/>
      <c r="AK7" s="81">
        <f>AI7-AH7</f>
        <v>293917</v>
      </c>
      <c r="AL7" s="38">
        <v>342170</v>
      </c>
      <c r="AM7" s="39">
        <v>495446</v>
      </c>
      <c r="AN7" s="42"/>
      <c r="AO7" s="84">
        <f>AM7-AL7</f>
        <v>153276</v>
      </c>
      <c r="AP7" s="38">
        <v>344030</v>
      </c>
      <c r="AQ7" s="85">
        <v>532448</v>
      </c>
      <c r="AR7" s="86">
        <f>AQ7-AP7</f>
        <v>188418</v>
      </c>
      <c r="AS7" s="43">
        <v>362698</v>
      </c>
      <c r="AT7" s="38">
        <v>364592</v>
      </c>
      <c r="AU7" s="41">
        <f>AT7-AS7</f>
        <v>1894</v>
      </c>
      <c r="AV7" s="38">
        <f>AL7+AP7+AS7</f>
        <v>1048898</v>
      </c>
      <c r="AW7" s="38">
        <f>AM7+AQ7+AT7</f>
        <v>1392486</v>
      </c>
      <c r="AX7" s="87">
        <v>2994372</v>
      </c>
      <c r="AY7" s="38">
        <f>AI7+AW7</f>
        <v>3631877</v>
      </c>
      <c r="AZ7" s="41">
        <f>AY7-AX7</f>
        <v>637505</v>
      </c>
      <c r="BA7" s="38">
        <v>337291</v>
      </c>
      <c r="BB7" s="38">
        <v>303246</v>
      </c>
      <c r="BC7" s="55">
        <f>BB7-BA7</f>
        <v>-34045</v>
      </c>
      <c r="BD7" s="49">
        <v>311804</v>
      </c>
      <c r="BE7" s="49">
        <v>337397</v>
      </c>
      <c r="BF7" s="49"/>
      <c r="BG7" s="55">
        <f>BE7-BD7</f>
        <v>25593</v>
      </c>
      <c r="BH7" s="38">
        <v>326102</v>
      </c>
      <c r="BI7" s="38">
        <v>376407</v>
      </c>
      <c r="BJ7" s="55">
        <f>BI7-BH7</f>
        <v>50305</v>
      </c>
      <c r="BK7" s="49">
        <f>BA7+BD7+BH7</f>
        <v>975197</v>
      </c>
      <c r="BL7" s="49">
        <f>BB7+BE7+BI7</f>
        <v>1017050</v>
      </c>
      <c r="BM7" s="49"/>
      <c r="BN7" s="38">
        <f>BK7+AX7</f>
        <v>3969569</v>
      </c>
      <c r="BO7" s="38">
        <v>4695988</v>
      </c>
      <c r="BP7" s="24"/>
      <c r="BQ7" s="25">
        <f>BO7-3631877</f>
        <v>1064111</v>
      </c>
    </row>
    <row r="8" spans="1:69" ht="27.75" customHeight="1">
      <c r="A8" s="34" t="s">
        <v>43</v>
      </c>
      <c r="B8" s="29" t="s">
        <v>11</v>
      </c>
      <c r="C8" s="19"/>
      <c r="D8" s="18">
        <f>136160+51200+89000</f>
        <v>276360</v>
      </c>
      <c r="E8" s="18">
        <f>160640+48400+76400</f>
        <v>285440</v>
      </c>
      <c r="F8" s="18"/>
      <c r="G8" s="67">
        <f>E8-D8</f>
        <v>9080</v>
      </c>
      <c r="H8" s="68">
        <f>133760+46200+81000</f>
        <v>260960</v>
      </c>
      <c r="I8" s="68">
        <f>173120+47600+84200</f>
        <v>304920</v>
      </c>
      <c r="J8" s="68">
        <f>I8-H8</f>
        <v>43960</v>
      </c>
      <c r="K8" s="69">
        <f>I8-H8</f>
        <v>43960</v>
      </c>
      <c r="L8" s="68">
        <f>153120+42200+96200</f>
        <v>291520</v>
      </c>
      <c r="M8" s="68">
        <f>167520+51400+86600</f>
        <v>305520</v>
      </c>
      <c r="N8" s="68"/>
      <c r="O8" s="67">
        <f>M8-L8</f>
        <v>14000</v>
      </c>
      <c r="P8" s="57">
        <f>D8+H8+L8</f>
        <v>828840</v>
      </c>
      <c r="Q8" s="57">
        <f>E8+I8+M8</f>
        <v>895880</v>
      </c>
      <c r="R8" s="57"/>
      <c r="S8" s="59">
        <f>164480+51800+85600</f>
        <v>301880</v>
      </c>
      <c r="T8" s="82">
        <f>241760+77400+99600</f>
        <v>418760</v>
      </c>
      <c r="U8" s="82"/>
      <c r="V8" s="81">
        <f>T8-S8</f>
        <v>116880</v>
      </c>
      <c r="W8" s="57">
        <f>146880+48000+73000</f>
        <v>267880</v>
      </c>
      <c r="X8" s="57">
        <f>63400+86200+210720</f>
        <v>360320</v>
      </c>
      <c r="Y8" s="57"/>
      <c r="Z8" s="81">
        <f>X8-W8</f>
        <v>92440</v>
      </c>
      <c r="AA8" s="57">
        <f>240960+50800+65800</f>
        <v>357560</v>
      </c>
      <c r="AB8" s="57">
        <v>350920</v>
      </c>
      <c r="AC8" s="57"/>
      <c r="AD8" s="81">
        <f>AB8-AA8</f>
        <v>-6640</v>
      </c>
      <c r="AE8" s="57">
        <f>S8+W8+AA8</f>
        <v>927320</v>
      </c>
      <c r="AF8" s="57">
        <f>T8+X8+AB8</f>
        <v>1130000</v>
      </c>
      <c r="AG8" s="82"/>
      <c r="AH8" s="59">
        <f>P8+AE8</f>
        <v>1756160</v>
      </c>
      <c r="AI8" s="82">
        <f>Q8+AF8</f>
        <v>2025880</v>
      </c>
      <c r="AJ8" s="59"/>
      <c r="AK8" s="81">
        <f>AI8-AH8</f>
        <v>269720</v>
      </c>
      <c r="AL8" s="44">
        <f>175680+45000+84200</f>
        <v>304880</v>
      </c>
      <c r="AM8" s="39">
        <v>353960</v>
      </c>
      <c r="AN8" s="42"/>
      <c r="AO8" s="88">
        <f>AM8-AL8</f>
        <v>49080</v>
      </c>
      <c r="AP8" s="44">
        <f>181120+46600+76800</f>
        <v>304520</v>
      </c>
      <c r="AQ8" s="85">
        <v>453440</v>
      </c>
      <c r="AR8" s="86">
        <f>AQ8-AP8</f>
        <v>148920</v>
      </c>
      <c r="AS8" s="89">
        <f>209120+47000+58800</f>
        <v>314920</v>
      </c>
      <c r="AT8" s="38">
        <f>236480+60200+53400</f>
        <v>350080</v>
      </c>
      <c r="AU8" s="41">
        <f>AT8-AS8</f>
        <v>35160</v>
      </c>
      <c r="AV8" s="44">
        <f>AL8+AP8+AS8</f>
        <v>924320</v>
      </c>
      <c r="AW8" s="38">
        <f>AM8+AQ8+AT8</f>
        <v>1157480</v>
      </c>
      <c r="AX8" s="90">
        <f>AH8+AV8</f>
        <v>2680480</v>
      </c>
      <c r="AY8" s="38">
        <f>AI8+AW8</f>
        <v>3183360</v>
      </c>
      <c r="AZ8" s="41">
        <f>AY8-AX8</f>
        <v>502880</v>
      </c>
      <c r="BA8" s="44">
        <f>163680+44600+75800</f>
        <v>284080</v>
      </c>
      <c r="BB8" s="44">
        <f>221440+60000+59800</f>
        <v>341240</v>
      </c>
      <c r="BC8" s="55">
        <f>BB8-BA8</f>
        <v>57160</v>
      </c>
      <c r="BD8" s="54">
        <f>156160+44600+91000</f>
        <v>291760</v>
      </c>
      <c r="BE8" s="54">
        <f>219360+62200+56200</f>
        <v>337760</v>
      </c>
      <c r="BF8" s="54"/>
      <c r="BG8" s="55">
        <f aca="true" t="shared" si="0" ref="BG8:BG20">BE8-BD8</f>
        <v>46000</v>
      </c>
      <c r="BH8" s="44">
        <f>163680+43600+89000</f>
        <v>296280</v>
      </c>
      <c r="BI8" s="44">
        <f>228000+67600+47800</f>
        <v>343400</v>
      </c>
      <c r="BJ8" s="55">
        <f>BI8-BH8</f>
        <v>47120</v>
      </c>
      <c r="BK8" s="49">
        <f>BA8+BD8+BH8</f>
        <v>872120</v>
      </c>
      <c r="BL8" s="54">
        <f>BB8+BE8+BI8</f>
        <v>1022400</v>
      </c>
      <c r="BM8" s="54"/>
      <c r="BN8" s="38">
        <f>BK8+AX8</f>
        <v>3552600</v>
      </c>
      <c r="BO8" s="44">
        <f>AY8+BL8</f>
        <v>4205760</v>
      </c>
      <c r="BP8" s="25"/>
      <c r="BQ8" s="25">
        <f>BQ7-BL7</f>
        <v>47061</v>
      </c>
    </row>
    <row r="9" spans="1:69" ht="33" customHeight="1">
      <c r="A9" s="34" t="s">
        <v>44</v>
      </c>
      <c r="B9" s="7" t="s">
        <v>9</v>
      </c>
      <c r="C9" s="18" t="s">
        <v>5</v>
      </c>
      <c r="D9" s="20">
        <f>D8/D7</f>
        <v>0.8492122754132212</v>
      </c>
      <c r="E9" s="20">
        <f>E8/E7</f>
        <v>0.8493443349768353</v>
      </c>
      <c r="F9" s="18"/>
      <c r="G9" s="72"/>
      <c r="H9" s="72">
        <f>H8/H7</f>
        <v>0.9160766252321259</v>
      </c>
      <c r="I9" s="72">
        <f>I8/I7</f>
        <v>0.980500604532709</v>
      </c>
      <c r="J9" s="68"/>
      <c r="K9" s="73"/>
      <c r="L9" s="72">
        <f>L8/L7</f>
        <v>0.9212168708583636</v>
      </c>
      <c r="M9" s="72">
        <f>M8/M7</f>
        <v>0.9320089808668489</v>
      </c>
      <c r="N9" s="68"/>
      <c r="O9" s="67"/>
      <c r="P9" s="60">
        <f>P8/P7</f>
        <v>0.8943521924490881</v>
      </c>
      <c r="Q9" s="60">
        <f>Q8/Q7</f>
        <v>0.9189804105807687</v>
      </c>
      <c r="R9" s="57"/>
      <c r="S9" s="60">
        <f>S8/S7</f>
        <v>0.9827782661067161</v>
      </c>
      <c r="T9" s="62">
        <f>T8/T7</f>
        <v>0.8796296296296297</v>
      </c>
      <c r="U9" s="82"/>
      <c r="V9" s="60"/>
      <c r="W9" s="60">
        <f>W8/W7</f>
        <v>0.802492435816782</v>
      </c>
      <c r="X9" s="60">
        <f>X8/X7</f>
        <v>1.0533085441002794</v>
      </c>
      <c r="Y9" s="60"/>
      <c r="Z9" s="83"/>
      <c r="AA9" s="60">
        <f>AA8/AA7</f>
        <v>0.9465644813299977</v>
      </c>
      <c r="AB9" s="60">
        <f>AB8/AB7</f>
        <v>0.7861463327210001</v>
      </c>
      <c r="AC9" s="57"/>
      <c r="AD9" s="81">
        <f>AB9-AA9</f>
        <v>-0.1604181486089976</v>
      </c>
      <c r="AE9" s="60">
        <f>AE8/AE7</f>
        <v>0.9102750987754301</v>
      </c>
      <c r="AF9" s="60">
        <f>AF8/AF7</f>
        <v>0.8936140599496413</v>
      </c>
      <c r="AG9" s="82"/>
      <c r="AH9" s="60">
        <f>AH8/AH7</f>
        <v>0.9026900385201756</v>
      </c>
      <c r="AI9" s="62">
        <f>AI8/AI7</f>
        <v>0.9046566678172772</v>
      </c>
      <c r="AJ9" s="60"/>
      <c r="AK9" s="81"/>
      <c r="AL9" s="45">
        <f>AL8/AL7</f>
        <v>0.8910190840810124</v>
      </c>
      <c r="AM9" s="39">
        <f>AM8/AM7</f>
        <v>0.714427001126258</v>
      </c>
      <c r="AN9" s="42"/>
      <c r="AO9" s="91"/>
      <c r="AP9" s="45">
        <f>AP8/AP7</f>
        <v>0.8851553643577595</v>
      </c>
      <c r="AQ9" s="85"/>
      <c r="AR9" s="92"/>
      <c r="AS9" s="47">
        <f>AS8/AS7</f>
        <v>0.868270572211592</v>
      </c>
      <c r="AT9" s="45">
        <f>AT8/AT7</f>
        <v>0.9601966033264581</v>
      </c>
      <c r="AU9" s="40"/>
      <c r="AV9" s="45">
        <f>AV8/AV7</f>
        <v>0.8812296333866592</v>
      </c>
      <c r="AW9" s="45">
        <f>AW8/AW7</f>
        <v>0.8312327736149592</v>
      </c>
      <c r="AX9" s="93">
        <f>AX8/AX7</f>
        <v>0.8951726772759029</v>
      </c>
      <c r="AY9" s="45">
        <f>AY8/AY7</f>
        <v>0.8765054543422037</v>
      </c>
      <c r="AZ9" s="94"/>
      <c r="BA9" s="50">
        <f>BA8/BA7</f>
        <v>0.8422400834887382</v>
      </c>
      <c r="BB9" s="50">
        <f>BB8/BB7</f>
        <v>1.1252910178534918</v>
      </c>
      <c r="BC9" s="55">
        <f>BB9-BA9</f>
        <v>0.2830509343647536</v>
      </c>
      <c r="BD9" s="50">
        <f>BD8/BD7</f>
        <v>0.9357160267347436</v>
      </c>
      <c r="BE9" s="50">
        <f>BE8/BE7</f>
        <v>1.0010758838993827</v>
      </c>
      <c r="BF9" s="50"/>
      <c r="BG9" s="95">
        <f t="shared" si="0"/>
        <v>0.0653598571646391</v>
      </c>
      <c r="BH9" s="50">
        <f>BH8/BH7</f>
        <v>0.908550085556053</v>
      </c>
      <c r="BI9" s="50">
        <f>BI8/BI7</f>
        <v>0.9123103449191965</v>
      </c>
      <c r="BJ9" s="55"/>
      <c r="BK9" s="50">
        <f>BK8/BK7</f>
        <v>0.8943013565464208</v>
      </c>
      <c r="BL9" s="50">
        <f>BL8/BL7</f>
        <v>1.005260311685758</v>
      </c>
      <c r="BM9" s="50"/>
      <c r="BN9" s="50">
        <f>BN8/BN7</f>
        <v>0.8949586214523542</v>
      </c>
      <c r="BO9" s="50">
        <f>BO8/BO7</f>
        <v>0.8956070586211038</v>
      </c>
      <c r="BP9" s="25"/>
      <c r="BQ9" s="25"/>
    </row>
    <row r="10" spans="1:67" ht="15.75" customHeight="1">
      <c r="A10" s="18"/>
      <c r="B10" s="21"/>
      <c r="C10" s="21"/>
      <c r="D10" s="21"/>
      <c r="E10" s="18"/>
      <c r="F10" s="21"/>
      <c r="G10" s="74"/>
      <c r="H10" s="74"/>
      <c r="I10" s="68"/>
      <c r="J10" s="74"/>
      <c r="K10" s="75"/>
      <c r="L10" s="76"/>
      <c r="M10" s="76"/>
      <c r="N10" s="76"/>
      <c r="O10" s="76"/>
      <c r="P10" s="63"/>
      <c r="Q10" s="63"/>
      <c r="R10" s="63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48"/>
      <c r="AM10" s="37"/>
      <c r="AN10" s="37"/>
      <c r="AO10" s="96"/>
      <c r="AP10" s="108" t="s">
        <v>33</v>
      </c>
      <c r="AQ10" s="108"/>
      <c r="AR10" s="108"/>
      <c r="AS10" s="48"/>
      <c r="AT10" s="37"/>
      <c r="AU10" s="37"/>
      <c r="AV10" s="37"/>
      <c r="AW10" s="37"/>
      <c r="AX10" s="97"/>
      <c r="AY10" s="37"/>
      <c r="AZ10" s="37"/>
      <c r="BA10" s="37"/>
      <c r="BB10" s="37"/>
      <c r="BC10" s="55"/>
      <c r="BD10" s="80"/>
      <c r="BE10" s="80"/>
      <c r="BF10" s="80"/>
      <c r="BG10" s="55"/>
      <c r="BH10" s="37"/>
      <c r="BI10" s="37"/>
      <c r="BJ10" s="55"/>
      <c r="BK10" s="80"/>
      <c r="BL10" s="80"/>
      <c r="BM10" s="80"/>
      <c r="BN10" s="37"/>
      <c r="BO10" s="37"/>
    </row>
    <row r="11" spans="1:69" ht="26.25" customHeight="1">
      <c r="A11" s="18">
        <v>4</v>
      </c>
      <c r="B11" s="29" t="s">
        <v>41</v>
      </c>
      <c r="C11" s="18" t="s">
        <v>6</v>
      </c>
      <c r="D11" s="18">
        <v>136219</v>
      </c>
      <c r="E11" s="18">
        <v>132147</v>
      </c>
      <c r="F11" s="18"/>
      <c r="G11" s="67">
        <f>E11-D11</f>
        <v>-4072</v>
      </c>
      <c r="H11" s="68">
        <v>119371</v>
      </c>
      <c r="I11" s="68">
        <v>127398</v>
      </c>
      <c r="J11" s="68"/>
      <c r="K11" s="69">
        <f>I11-H11</f>
        <v>8027</v>
      </c>
      <c r="L11" s="68">
        <v>115544</v>
      </c>
      <c r="M11" s="68">
        <v>122985</v>
      </c>
      <c r="N11" s="68"/>
      <c r="O11" s="67">
        <f>M11-L11</f>
        <v>7441</v>
      </c>
      <c r="P11" s="58">
        <f>D11+H11+L11</f>
        <v>371134</v>
      </c>
      <c r="Q11" s="57">
        <v>382535</v>
      </c>
      <c r="R11" s="57"/>
      <c r="S11" s="57">
        <v>121151</v>
      </c>
      <c r="T11" s="82">
        <v>132774</v>
      </c>
      <c r="U11" s="82"/>
      <c r="V11" s="83">
        <f>T11-S11</f>
        <v>11623</v>
      </c>
      <c r="W11" s="57">
        <v>113691</v>
      </c>
      <c r="X11" s="57">
        <v>119062</v>
      </c>
      <c r="Y11" s="57"/>
      <c r="Z11" s="81">
        <f>X11-W11</f>
        <v>5371</v>
      </c>
      <c r="AA11" s="57">
        <v>122858</v>
      </c>
      <c r="AB11" s="82">
        <v>136655</v>
      </c>
      <c r="AC11" s="57"/>
      <c r="AD11" s="81">
        <f>AB11-AA11</f>
        <v>13797</v>
      </c>
      <c r="AE11" s="57">
        <f>S11+W11+AA11</f>
        <v>357700</v>
      </c>
      <c r="AF11" s="57">
        <f>T11+X11+AB11</f>
        <v>388491</v>
      </c>
      <c r="AG11" s="82"/>
      <c r="AH11" s="57">
        <f>P11+AE11</f>
        <v>728834</v>
      </c>
      <c r="AI11" s="82">
        <f>Q11+AF11</f>
        <v>771026</v>
      </c>
      <c r="AJ11" s="57"/>
      <c r="AK11" s="81">
        <f>AI11-AH11</f>
        <v>42192</v>
      </c>
      <c r="AL11" s="38">
        <v>113734</v>
      </c>
      <c r="AM11" s="39">
        <v>124741</v>
      </c>
      <c r="AN11" s="42"/>
      <c r="AO11" s="84">
        <f>AM11-AL11</f>
        <v>11007</v>
      </c>
      <c r="AP11" s="38">
        <v>116749</v>
      </c>
      <c r="AQ11" s="85">
        <v>132632</v>
      </c>
      <c r="AR11" s="86">
        <f>AQ11-AP11</f>
        <v>15883</v>
      </c>
      <c r="AS11" s="43">
        <v>127678</v>
      </c>
      <c r="AT11" s="38">
        <v>130756</v>
      </c>
      <c r="AU11" s="41">
        <f>AT11-AS11</f>
        <v>3078</v>
      </c>
      <c r="AV11" s="38">
        <f>AL11+AP11+AS11</f>
        <v>358161</v>
      </c>
      <c r="AW11" s="38">
        <f>AM11+AQ11+AT11</f>
        <v>388129</v>
      </c>
      <c r="AX11" s="87">
        <v>1086995</v>
      </c>
      <c r="AY11" s="38">
        <f>AW11+AI11</f>
        <v>1159155</v>
      </c>
      <c r="AZ11" s="41">
        <f>AY11-AX11</f>
        <v>72160</v>
      </c>
      <c r="BA11" s="38">
        <v>121665</v>
      </c>
      <c r="BB11" s="38">
        <v>113163</v>
      </c>
      <c r="BC11" s="55">
        <f>BB11-BA11</f>
        <v>-8502</v>
      </c>
      <c r="BD11" s="49">
        <v>121308</v>
      </c>
      <c r="BE11" s="49">
        <v>125141</v>
      </c>
      <c r="BF11" s="49"/>
      <c r="BG11" s="55">
        <f t="shared" si="0"/>
        <v>3833</v>
      </c>
      <c r="BH11" s="38">
        <v>126676</v>
      </c>
      <c r="BI11" s="38">
        <v>123673</v>
      </c>
      <c r="BJ11" s="55">
        <f>BI11-BH11</f>
        <v>-3003</v>
      </c>
      <c r="BK11" s="49">
        <f>BA11+BD11+BH11</f>
        <v>369649</v>
      </c>
      <c r="BL11" s="49">
        <f>BB11+BE11+BI11</f>
        <v>361977</v>
      </c>
      <c r="BM11" s="49"/>
      <c r="BN11" s="38">
        <f>BK11+AX11</f>
        <v>1456644</v>
      </c>
      <c r="BO11" s="38">
        <v>1531290</v>
      </c>
      <c r="BP11" s="24"/>
      <c r="BQ11" s="3">
        <f>BO11-1159155</f>
        <v>372135</v>
      </c>
    </row>
    <row r="12" spans="1:69" ht="32.25" customHeight="1">
      <c r="A12" s="34" t="s">
        <v>45</v>
      </c>
      <c r="B12" s="29" t="s">
        <v>11</v>
      </c>
      <c r="C12" s="19" t="s">
        <v>7</v>
      </c>
      <c r="D12" s="18">
        <f>62440+2382</f>
        <v>64822</v>
      </c>
      <c r="E12" s="18">
        <f>45590+40905+7652+109</f>
        <v>94256</v>
      </c>
      <c r="F12" s="18"/>
      <c r="G12" s="67">
        <f>E12-D12</f>
        <v>29434</v>
      </c>
      <c r="H12" s="68">
        <f>55490+2300+15</f>
        <v>57805</v>
      </c>
      <c r="I12" s="68">
        <f>36497+41958+6273+118</f>
        <v>84846</v>
      </c>
      <c r="J12" s="68">
        <f>I12-H12</f>
        <v>27041</v>
      </c>
      <c r="K12" s="69">
        <f>I12-H12</f>
        <v>27041</v>
      </c>
      <c r="L12" s="68">
        <f>65380+3358</f>
        <v>68738</v>
      </c>
      <c r="M12" s="68">
        <f>40399+52907+6664+65</f>
        <v>100035</v>
      </c>
      <c r="N12" s="68"/>
      <c r="O12" s="67">
        <f>M12-L12</f>
        <v>31297</v>
      </c>
      <c r="P12" s="58">
        <f>D12+H12+L12</f>
        <v>191365</v>
      </c>
      <c r="Q12" s="57">
        <f>E12+I12+M12</f>
        <v>279137</v>
      </c>
      <c r="R12" s="57"/>
      <c r="S12" s="59">
        <f>88175+5040+16</f>
        <v>93231</v>
      </c>
      <c r="T12" s="82">
        <f>80960+10895+6621+90</f>
        <v>98566</v>
      </c>
      <c r="U12" s="82"/>
      <c r="V12" s="81">
        <f>T12-S12</f>
        <v>5335</v>
      </c>
      <c r="W12" s="57">
        <f>69260+10127+5733+33</f>
        <v>85153</v>
      </c>
      <c r="X12" s="57">
        <f>63862+1503+1468</f>
        <v>66833</v>
      </c>
      <c r="Y12" s="57"/>
      <c r="Z12" s="81">
        <f>X12-W12</f>
        <v>-18320</v>
      </c>
      <c r="AA12" s="57">
        <f>25495+62834+4695</f>
        <v>93024</v>
      </c>
      <c r="AB12" s="82">
        <v>61065</v>
      </c>
      <c r="AC12" s="57"/>
      <c r="AD12" s="81">
        <f>AB12-AA12</f>
        <v>-31959</v>
      </c>
      <c r="AE12" s="57">
        <f>S12+W12+AA12</f>
        <v>271408</v>
      </c>
      <c r="AF12" s="57">
        <f>T12+X12+AB12</f>
        <v>226464</v>
      </c>
      <c r="AG12" s="82"/>
      <c r="AH12" s="59">
        <f>P12+AE12</f>
        <v>462773</v>
      </c>
      <c r="AI12" s="82">
        <f>Q12+AF12</f>
        <v>505601</v>
      </c>
      <c r="AJ12" s="59"/>
      <c r="AK12" s="81">
        <f>AI12-AH12</f>
        <v>42828</v>
      </c>
      <c r="AL12" s="44">
        <f>18724+60059+4478+12</f>
        <v>83273</v>
      </c>
      <c r="AM12" s="39">
        <v>55027</v>
      </c>
      <c r="AN12" s="42"/>
      <c r="AO12" s="88">
        <f>AM12-AL12</f>
        <v>-28246</v>
      </c>
      <c r="AP12" s="44">
        <f>14569+41875+4340+2</f>
        <v>60786</v>
      </c>
      <c r="AQ12" s="85">
        <v>53019</v>
      </c>
      <c r="AR12" s="86">
        <f>AQ12-AP12</f>
        <v>-7767</v>
      </c>
      <c r="AS12" s="89">
        <f>55620+4033+23</f>
        <v>59676</v>
      </c>
      <c r="AT12" s="38">
        <f>53690+1553+3762+66</f>
        <v>59071</v>
      </c>
      <c r="AU12" s="41">
        <f>AT12-AS12</f>
        <v>-605</v>
      </c>
      <c r="AV12" s="44">
        <f>AL12+AP12+AS12</f>
        <v>203735</v>
      </c>
      <c r="AW12" s="38">
        <f>AM12+AQ12+AT12</f>
        <v>167117</v>
      </c>
      <c r="AX12" s="90">
        <f>AH12+AV12</f>
        <v>666508</v>
      </c>
      <c r="AY12" s="38">
        <f>AW12+AI12</f>
        <v>672718</v>
      </c>
      <c r="AZ12" s="41">
        <f>AY12-AX12</f>
        <v>6210</v>
      </c>
      <c r="BA12" s="44">
        <f>44593+35501+5932+49</f>
        <v>86075</v>
      </c>
      <c r="BB12" s="44">
        <f>60912+1553+5193+94</f>
        <v>67752</v>
      </c>
      <c r="BC12" s="55">
        <f>BB12-BA12</f>
        <v>-18323</v>
      </c>
      <c r="BD12" s="54">
        <f>38891+52396+7614+74</f>
        <v>98975</v>
      </c>
      <c r="BE12" s="54">
        <f>59843+1463+6670+79</f>
        <v>68055</v>
      </c>
      <c r="BF12" s="54"/>
      <c r="BG12" s="55">
        <f t="shared" si="0"/>
        <v>-30920</v>
      </c>
      <c r="BH12" s="44">
        <f>44080+48751+7563+80</f>
        <v>100474</v>
      </c>
      <c r="BI12" s="44">
        <f>64899+1539+7265+83</f>
        <v>73786</v>
      </c>
      <c r="BJ12" s="55">
        <f>BI12-BH12</f>
        <v>-26688</v>
      </c>
      <c r="BK12" s="49">
        <f>BA12+BD12+BH12</f>
        <v>285524</v>
      </c>
      <c r="BL12" s="54">
        <f>BB12+BE12+BI12</f>
        <v>209593</v>
      </c>
      <c r="BM12" s="54"/>
      <c r="BN12" s="38">
        <f>BK12+AX12</f>
        <v>952032</v>
      </c>
      <c r="BO12" s="44">
        <f>AY12+BL12</f>
        <v>882311</v>
      </c>
      <c r="BP12" s="24"/>
      <c r="BQ12" s="3">
        <f>BQ11-BL11</f>
        <v>10158</v>
      </c>
    </row>
    <row r="13" spans="1:69" ht="24.75" customHeight="1">
      <c r="A13" s="34" t="s">
        <v>46</v>
      </c>
      <c r="B13" s="7" t="s">
        <v>9</v>
      </c>
      <c r="C13" s="22" t="s">
        <v>7</v>
      </c>
      <c r="D13" s="20">
        <f>D12/D11</f>
        <v>0.4758660686101058</v>
      </c>
      <c r="E13" s="20">
        <f>E12/E11</f>
        <v>0.7132662867866846</v>
      </c>
      <c r="F13" s="18"/>
      <c r="G13" s="72"/>
      <c r="H13" s="72">
        <f>H12/H11</f>
        <v>0.48424659255598096</v>
      </c>
      <c r="I13" s="72">
        <f>I12/I11</f>
        <v>0.6659916168228701</v>
      </c>
      <c r="J13" s="68"/>
      <c r="K13" s="73"/>
      <c r="L13" s="72">
        <f>L12/L11</f>
        <v>0.5949075676798449</v>
      </c>
      <c r="M13" s="72">
        <f>M12/M11</f>
        <v>0.8133918770581778</v>
      </c>
      <c r="N13" s="68"/>
      <c r="O13" s="67"/>
      <c r="P13" s="61">
        <f>P12/P11</f>
        <v>0.5156223897567994</v>
      </c>
      <c r="Q13" s="60">
        <f>Q12/Q11</f>
        <v>0.7297031644163279</v>
      </c>
      <c r="R13" s="57"/>
      <c r="S13" s="60">
        <f>S12/S11</f>
        <v>0.7695437924573466</v>
      </c>
      <c r="T13" s="62">
        <f>T12/T11</f>
        <v>0.7423591968307048</v>
      </c>
      <c r="U13" s="82"/>
      <c r="V13" s="83"/>
      <c r="W13" s="60">
        <f>W12/W11</f>
        <v>0.7489862873930214</v>
      </c>
      <c r="X13" s="60">
        <f>X12/X11</f>
        <v>0.5613293914095178</v>
      </c>
      <c r="Y13" s="60"/>
      <c r="Z13" s="83"/>
      <c r="AA13" s="60">
        <f>AA12/AA11</f>
        <v>0.757166810464113</v>
      </c>
      <c r="AB13" s="62">
        <f>AB12/AB11</f>
        <v>0.4468552193479931</v>
      </c>
      <c r="AC13" s="57"/>
      <c r="AD13" s="81">
        <f>AB13-AA13</f>
        <v>-0.31031159111611994</v>
      </c>
      <c r="AE13" s="60">
        <f>AE12/AE11</f>
        <v>0.7587587363712608</v>
      </c>
      <c r="AF13" s="60">
        <f>AF12/AF11</f>
        <v>0.5829324231449378</v>
      </c>
      <c r="AG13" s="82"/>
      <c r="AH13" s="60">
        <f>AH12/AH11</f>
        <v>0.6349497965243114</v>
      </c>
      <c r="AI13" s="62">
        <f>AI12/AI11</f>
        <v>0.6557509085296734</v>
      </c>
      <c r="AJ13" s="60"/>
      <c r="AK13" s="81"/>
      <c r="AL13" s="50">
        <f>AL12/AL11</f>
        <v>0.7321733166863031</v>
      </c>
      <c r="AM13" s="39">
        <f>AM12/AM11</f>
        <v>0.4411300214043498</v>
      </c>
      <c r="AN13" s="42"/>
      <c r="AO13" s="98"/>
      <c r="AP13" s="50">
        <f>AP12/AP11</f>
        <v>0.5206554231727895</v>
      </c>
      <c r="AQ13" s="85"/>
      <c r="AR13" s="92"/>
      <c r="AS13" s="99">
        <f>AS12/AS11</f>
        <v>0.4673945393881483</v>
      </c>
      <c r="AT13" s="45">
        <f>AT12/AT11</f>
        <v>0.45176511976505856</v>
      </c>
      <c r="AU13" s="51"/>
      <c r="AV13" s="50">
        <f>AV12/AV11</f>
        <v>0.5688363613012025</v>
      </c>
      <c r="AW13" s="45">
        <f>AW12/AW11</f>
        <v>0.4305707638439797</v>
      </c>
      <c r="AX13" s="93">
        <f>AX12/AX11</f>
        <v>0.6131656539358507</v>
      </c>
      <c r="AY13" s="45">
        <f>AY12/AY11</f>
        <v>0.5803520668072863</v>
      </c>
      <c r="AZ13" s="100"/>
      <c r="BA13" s="50">
        <f>BA12/BA11</f>
        <v>0.7074754448691079</v>
      </c>
      <c r="BB13" s="50">
        <f>BB12/BB11</f>
        <v>0.5987115930118502</v>
      </c>
      <c r="BC13" s="55">
        <f>BB13-BA13</f>
        <v>-0.10876385185725768</v>
      </c>
      <c r="BD13" s="50">
        <f>BD12/BD11</f>
        <v>0.8158983743858608</v>
      </c>
      <c r="BE13" s="50">
        <f>BE12/BE11</f>
        <v>0.5438265636362184</v>
      </c>
      <c r="BF13" s="50"/>
      <c r="BG13" s="95">
        <f t="shared" si="0"/>
        <v>-0.2720718107496424</v>
      </c>
      <c r="BH13" s="50">
        <f>BH12/BH11</f>
        <v>0.7931573463007989</v>
      </c>
      <c r="BI13" s="50">
        <f>BI12/BI11</f>
        <v>0.5966217363531248</v>
      </c>
      <c r="BJ13" s="55"/>
      <c r="BK13" s="50">
        <f>BK12/BK11</f>
        <v>0.7724192409556092</v>
      </c>
      <c r="BL13" s="50">
        <f>BL12/BL11</f>
        <v>0.5790229765979606</v>
      </c>
      <c r="BM13" s="50"/>
      <c r="BN13" s="50">
        <f>BN12/BN11</f>
        <v>0.6535790488273044</v>
      </c>
      <c r="BO13" s="50">
        <f>BO12/BO11</f>
        <v>0.5761880505978619</v>
      </c>
      <c r="BP13" s="25"/>
      <c r="BQ13" s="12"/>
    </row>
    <row r="14" spans="1:68" ht="15.75" customHeight="1">
      <c r="A14" s="35"/>
      <c r="B14" s="21"/>
      <c r="C14" s="21"/>
      <c r="D14" s="21"/>
      <c r="E14" s="18"/>
      <c r="F14" s="21"/>
      <c r="G14" s="74"/>
      <c r="H14" s="74"/>
      <c r="I14" s="68"/>
      <c r="J14" s="74"/>
      <c r="K14" s="75"/>
      <c r="L14" s="76"/>
      <c r="M14" s="76"/>
      <c r="N14" s="76"/>
      <c r="O14" s="76"/>
      <c r="P14" s="63"/>
      <c r="Q14" s="63"/>
      <c r="R14" s="63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48"/>
      <c r="AM14" s="37"/>
      <c r="AN14" s="37"/>
      <c r="AO14" s="96"/>
      <c r="AP14" s="108" t="s">
        <v>34</v>
      </c>
      <c r="AQ14" s="108"/>
      <c r="AR14" s="108"/>
      <c r="AS14" s="48"/>
      <c r="AT14" s="37"/>
      <c r="AU14" s="37"/>
      <c r="AV14" s="37"/>
      <c r="AW14" s="37"/>
      <c r="AX14" s="97"/>
      <c r="AY14" s="37"/>
      <c r="AZ14" s="37"/>
      <c r="BA14" s="37"/>
      <c r="BB14" s="37"/>
      <c r="BC14" s="55"/>
      <c r="BD14" s="80"/>
      <c r="BE14" s="80"/>
      <c r="BF14" s="80"/>
      <c r="BG14" s="55"/>
      <c r="BH14" s="37"/>
      <c r="BI14" s="37"/>
      <c r="BJ14" s="55"/>
      <c r="BK14" s="80"/>
      <c r="BL14" s="80"/>
      <c r="BM14" s="80"/>
      <c r="BN14" s="37"/>
      <c r="BO14" s="37"/>
      <c r="BP14" s="25"/>
    </row>
    <row r="15" spans="1:69" ht="28.5" customHeight="1">
      <c r="A15" s="18">
        <v>7</v>
      </c>
      <c r="B15" s="29" t="s">
        <v>42</v>
      </c>
      <c r="C15" s="18" t="s">
        <v>6</v>
      </c>
      <c r="D15" s="18">
        <v>186940</v>
      </c>
      <c r="E15" s="18">
        <v>173572</v>
      </c>
      <c r="F15" s="18"/>
      <c r="G15" s="67">
        <f>E15-D15</f>
        <v>-13368</v>
      </c>
      <c r="H15" s="68">
        <v>156197</v>
      </c>
      <c r="I15" s="68">
        <v>154921</v>
      </c>
      <c r="J15" s="68"/>
      <c r="K15" s="69">
        <f>I15-H15</f>
        <v>-1276</v>
      </c>
      <c r="L15" s="68">
        <v>152815</v>
      </c>
      <c r="M15" s="68">
        <v>165375</v>
      </c>
      <c r="N15" s="68"/>
      <c r="O15" s="67">
        <f>M15-L15</f>
        <v>12560</v>
      </c>
      <c r="P15" s="58">
        <f>D15+H15+L15</f>
        <v>495952</v>
      </c>
      <c r="Q15" s="57">
        <v>493873</v>
      </c>
      <c r="R15" s="57"/>
      <c r="S15" s="57">
        <v>194229</v>
      </c>
      <c r="T15" s="82">
        <v>186893</v>
      </c>
      <c r="U15" s="82"/>
      <c r="V15" s="83">
        <f>T15-S15</f>
        <v>-7336</v>
      </c>
      <c r="W15" s="57">
        <v>173888</v>
      </c>
      <c r="X15" s="57">
        <v>176714</v>
      </c>
      <c r="Y15" s="57"/>
      <c r="Z15" s="81">
        <f>X15-W15</f>
        <v>2826</v>
      </c>
      <c r="AA15" s="57">
        <v>153151</v>
      </c>
      <c r="AB15" s="82">
        <v>173385</v>
      </c>
      <c r="AC15" s="57"/>
      <c r="AD15" s="81">
        <f>AB15-AA15</f>
        <v>20234</v>
      </c>
      <c r="AE15" s="57">
        <f>S15+W15+AA15</f>
        <v>521268</v>
      </c>
      <c r="AF15" s="57">
        <f>T15+X15+AB15</f>
        <v>536992</v>
      </c>
      <c r="AG15" s="82"/>
      <c r="AH15" s="57">
        <f>P15+AE15</f>
        <v>1017220</v>
      </c>
      <c r="AI15" s="82">
        <f>Q15+AF15</f>
        <v>1030865</v>
      </c>
      <c r="AJ15" s="57"/>
      <c r="AK15" s="81">
        <f>AI15-AH15</f>
        <v>13645</v>
      </c>
      <c r="AL15" s="38">
        <v>178824</v>
      </c>
      <c r="AM15" s="39">
        <v>171536</v>
      </c>
      <c r="AN15" s="42"/>
      <c r="AO15" s="84">
        <f>AM15-AL15</f>
        <v>-7288</v>
      </c>
      <c r="AP15" s="38">
        <v>166920</v>
      </c>
      <c r="AQ15" s="85">
        <v>191191</v>
      </c>
      <c r="AR15" s="86">
        <f>AQ15-AP15</f>
        <v>24271</v>
      </c>
      <c r="AS15" s="43">
        <v>177619</v>
      </c>
      <c r="AT15" s="38">
        <v>223146</v>
      </c>
      <c r="AU15" s="41">
        <f>AT15-AS15</f>
        <v>45527</v>
      </c>
      <c r="AV15" s="38">
        <f>AL15+AP15+AS15</f>
        <v>523363</v>
      </c>
      <c r="AW15" s="38">
        <f>AM15+AQ15+AT15</f>
        <v>585873</v>
      </c>
      <c r="AX15" s="87">
        <v>1537026</v>
      </c>
      <c r="AY15" s="38">
        <f>AW15+AI15</f>
        <v>1616738</v>
      </c>
      <c r="AZ15" s="41">
        <f>AY15-AX15</f>
        <v>79712</v>
      </c>
      <c r="BA15" s="38">
        <v>179101</v>
      </c>
      <c r="BB15" s="38">
        <v>171359</v>
      </c>
      <c r="BC15" s="55">
        <f>BB15-BA15</f>
        <v>-7742</v>
      </c>
      <c r="BD15" s="49">
        <v>187606</v>
      </c>
      <c r="BE15" s="49">
        <v>173620</v>
      </c>
      <c r="BF15" s="49"/>
      <c r="BG15" s="55">
        <f t="shared" si="0"/>
        <v>-13986</v>
      </c>
      <c r="BH15" s="38">
        <v>181628</v>
      </c>
      <c r="BI15" s="38">
        <v>164438</v>
      </c>
      <c r="BJ15" s="55">
        <f>BI15-BH15</f>
        <v>-17190</v>
      </c>
      <c r="BK15" s="49">
        <f>BA15+BD15+BH15</f>
        <v>548335</v>
      </c>
      <c r="BL15" s="49">
        <f>BB15+BE15+BI15</f>
        <v>509417</v>
      </c>
      <c r="BM15" s="49"/>
      <c r="BN15" s="38">
        <v>2085364</v>
      </c>
      <c r="BO15" s="38">
        <v>2136313</v>
      </c>
      <c r="BP15" s="24"/>
      <c r="BQ15" s="3">
        <f>BO15-1616738</f>
        <v>519575</v>
      </c>
    </row>
    <row r="16" spans="1:72" ht="25.5" customHeight="1">
      <c r="A16" s="18">
        <v>8</v>
      </c>
      <c r="B16" s="29" t="s">
        <v>10</v>
      </c>
      <c r="C16" s="19" t="s">
        <v>5</v>
      </c>
      <c r="D16" s="18">
        <f>133400-15280</f>
        <v>118120</v>
      </c>
      <c r="E16" s="18">
        <f>130000-15800</f>
        <v>114200</v>
      </c>
      <c r="F16" s="18"/>
      <c r="G16" s="67">
        <f>E16-D16</f>
        <v>-3920</v>
      </c>
      <c r="H16" s="68">
        <f>121400-12680</f>
        <v>108720</v>
      </c>
      <c r="I16" s="68">
        <f>57000+73400-15320</f>
        <v>115080</v>
      </c>
      <c r="J16" s="68">
        <f>I16-H16</f>
        <v>6360</v>
      </c>
      <c r="K16" s="69">
        <f>I16-H16</f>
        <v>6360</v>
      </c>
      <c r="L16" s="68">
        <f>130000-13600</f>
        <v>116400</v>
      </c>
      <c r="M16" s="68">
        <f>126400-14360</f>
        <v>112040</v>
      </c>
      <c r="N16" s="68"/>
      <c r="O16" s="67">
        <f>M16-L16</f>
        <v>-4360</v>
      </c>
      <c r="P16" s="58">
        <f>D16+H16+L16</f>
        <v>343240</v>
      </c>
      <c r="Q16" s="57">
        <f>E16+I16+M16</f>
        <v>341320</v>
      </c>
      <c r="R16" s="57"/>
      <c r="S16" s="59">
        <f>120200-10360</f>
        <v>109840</v>
      </c>
      <c r="T16" s="82">
        <f>101200-9840</f>
        <v>91360</v>
      </c>
      <c r="U16" s="82"/>
      <c r="V16" s="81">
        <f>T16-S16</f>
        <v>-18480</v>
      </c>
      <c r="W16" s="57">
        <f>2800+89800-6800</f>
        <v>85800</v>
      </c>
      <c r="X16" s="57">
        <f>100600-7600</f>
        <v>93000</v>
      </c>
      <c r="Y16" s="57"/>
      <c r="Z16" s="81">
        <f>X16-W16</f>
        <v>7200</v>
      </c>
      <c r="AA16" s="57">
        <f>94200-5400</f>
        <v>88800</v>
      </c>
      <c r="AB16" s="82">
        <v>84160</v>
      </c>
      <c r="AC16" s="57"/>
      <c r="AD16" s="81">
        <f>AB16-AA16</f>
        <v>-4640</v>
      </c>
      <c r="AE16" s="57">
        <f>S16+W16+AA16</f>
        <v>284440</v>
      </c>
      <c r="AF16" s="57">
        <f>T16+X16+AB16</f>
        <v>268520</v>
      </c>
      <c r="AG16" s="82"/>
      <c r="AH16" s="59">
        <f>P16+AE16</f>
        <v>627680</v>
      </c>
      <c r="AI16" s="82">
        <f>Q16+AF16</f>
        <v>609840</v>
      </c>
      <c r="AJ16" s="59"/>
      <c r="AK16" s="81">
        <f>AI16-AH16</f>
        <v>-17840</v>
      </c>
      <c r="AL16" s="44">
        <f>91600-5360</f>
        <v>86240</v>
      </c>
      <c r="AM16" s="39">
        <v>78160</v>
      </c>
      <c r="AN16" s="42"/>
      <c r="AO16" s="88">
        <f>AM16-AL16</f>
        <v>-8080</v>
      </c>
      <c r="AP16" s="44">
        <f>95200-7240</f>
        <v>87960</v>
      </c>
      <c r="AQ16" s="85">
        <v>89280</v>
      </c>
      <c r="AR16" s="86">
        <f>AQ16-AP16</f>
        <v>1320</v>
      </c>
      <c r="AS16" s="89">
        <f>93600-7680</f>
        <v>85920</v>
      </c>
      <c r="AT16" s="38">
        <f>91400-8480</f>
        <v>82920</v>
      </c>
      <c r="AU16" s="41">
        <f>AT16-AS16</f>
        <v>-3000</v>
      </c>
      <c r="AV16" s="44">
        <f>AL16+AP16+AS16</f>
        <v>260120</v>
      </c>
      <c r="AW16" s="38">
        <f>AM16+AQ16+AT16</f>
        <v>250360</v>
      </c>
      <c r="AX16" s="90">
        <f>AH16+AV16</f>
        <v>887800</v>
      </c>
      <c r="AY16" s="38">
        <f>AW16+AI16</f>
        <v>860200</v>
      </c>
      <c r="AZ16" s="41">
        <f>AY16-AX16</f>
        <v>-27600</v>
      </c>
      <c r="BA16" s="44">
        <f>118400-11920</f>
        <v>106480</v>
      </c>
      <c r="BB16" s="44">
        <f>116800-14600</f>
        <v>102200</v>
      </c>
      <c r="BC16" s="55">
        <f>BB16-BA16</f>
        <v>-4280</v>
      </c>
      <c r="BD16" s="54">
        <f>129600-14000</f>
        <v>115600</v>
      </c>
      <c r="BE16" s="54">
        <f>41600+87000-17160</f>
        <v>111440</v>
      </c>
      <c r="BF16" s="54"/>
      <c r="BG16" s="55">
        <f t="shared" si="0"/>
        <v>-4160</v>
      </c>
      <c r="BH16" s="44">
        <f>130400-14480</f>
        <v>115920</v>
      </c>
      <c r="BI16" s="44">
        <f>143600-20200</f>
        <v>123400</v>
      </c>
      <c r="BJ16" s="55">
        <f>BI16-BH16</f>
        <v>7480</v>
      </c>
      <c r="BK16" s="49">
        <f>BA16+BD16+BH16</f>
        <v>338000</v>
      </c>
      <c r="BL16" s="54">
        <f>BB16+BE16+BI16</f>
        <v>337040</v>
      </c>
      <c r="BM16" s="54"/>
      <c r="BN16" s="38">
        <f>BK16+AX16</f>
        <v>1225800</v>
      </c>
      <c r="BO16" s="44">
        <f>AY16+BL16</f>
        <v>1197240</v>
      </c>
      <c r="BP16" s="25"/>
      <c r="BQ16" s="3">
        <f>BQ15-BL15</f>
        <v>10158</v>
      </c>
      <c r="BT16" s="3">
        <f>BO12+BO16</f>
        <v>2079551</v>
      </c>
    </row>
    <row r="17" spans="1:68" ht="26.25" customHeight="1">
      <c r="A17" s="18">
        <v>9</v>
      </c>
      <c r="B17" s="27" t="s">
        <v>9</v>
      </c>
      <c r="C17" s="22" t="s">
        <v>5</v>
      </c>
      <c r="D17" s="20">
        <f>D16/D15</f>
        <v>0.6318604899967905</v>
      </c>
      <c r="E17" s="20">
        <f>E16/E15</f>
        <v>0.6579402207729357</v>
      </c>
      <c r="F17" s="18"/>
      <c r="G17" s="72"/>
      <c r="H17" s="72">
        <f>H16/H15</f>
        <v>0.6960440981580952</v>
      </c>
      <c r="I17" s="72">
        <f>I16/I15</f>
        <v>0.7428302166910877</v>
      </c>
      <c r="J17" s="68"/>
      <c r="K17" s="73"/>
      <c r="L17" s="72">
        <f>L16/L15</f>
        <v>0.7617053299741517</v>
      </c>
      <c r="M17" s="72">
        <f>M16/M15</f>
        <v>0.677490551776266</v>
      </c>
      <c r="N17" s="68"/>
      <c r="O17" s="67"/>
      <c r="P17" s="60">
        <f>P16/P15</f>
        <v>0.6920831048165952</v>
      </c>
      <c r="Q17" s="60">
        <f>Q16/Q15</f>
        <v>0.691108847821201</v>
      </c>
      <c r="R17" s="57"/>
      <c r="S17" s="60">
        <f>S16/S15</f>
        <v>0.5655180225404033</v>
      </c>
      <c r="T17" s="62">
        <f>T16/T15</f>
        <v>0.4888358579508061</v>
      </c>
      <c r="U17" s="82"/>
      <c r="V17" s="83"/>
      <c r="W17" s="60">
        <f>W16/W15</f>
        <v>0.4934210526315789</v>
      </c>
      <c r="X17" s="60">
        <f>X16/X15</f>
        <v>0.5262740926016048</v>
      </c>
      <c r="Y17" s="60"/>
      <c r="Z17" s="83"/>
      <c r="AA17" s="60">
        <f>AA16/AA15</f>
        <v>0.5798199162917643</v>
      </c>
      <c r="AB17" s="62">
        <f>AB16/AB15</f>
        <v>0.4853937768549759</v>
      </c>
      <c r="AC17" s="57"/>
      <c r="AD17" s="81">
        <f>AB17-AA17</f>
        <v>-0.0944261394367884</v>
      </c>
      <c r="AE17" s="60">
        <f>AE16/AE15</f>
        <v>0.5456694061404115</v>
      </c>
      <c r="AF17" s="60">
        <f>AF16/AF15</f>
        <v>0.5000446934032536</v>
      </c>
      <c r="AG17" s="82"/>
      <c r="AH17" s="60">
        <f>AH16/AH15</f>
        <v>0.6170543245315664</v>
      </c>
      <c r="AI17" s="62">
        <f>AI16/AI15</f>
        <v>0.5915808568532253</v>
      </c>
      <c r="AJ17" s="60"/>
      <c r="AK17" s="81"/>
      <c r="AL17" s="50">
        <f>AL16/AL15</f>
        <v>0.4822618887845032</v>
      </c>
      <c r="AM17" s="39"/>
      <c r="AN17" s="42"/>
      <c r="AO17" s="98"/>
      <c r="AP17" s="50">
        <f>AP16/AP15</f>
        <v>0.5269590222861251</v>
      </c>
      <c r="AQ17" s="85"/>
      <c r="AR17" s="92"/>
      <c r="AS17" s="99">
        <f>AS16/AS15</f>
        <v>0.4837320331721269</v>
      </c>
      <c r="AT17" s="45">
        <f>AT16/AT15</f>
        <v>0.37159527842757656</v>
      </c>
      <c r="AU17" s="51"/>
      <c r="AV17" s="50">
        <f>AV16/AV15</f>
        <v>0.497016411171596</v>
      </c>
      <c r="AW17" s="46">
        <f>AW16/AW15</f>
        <v>0.42732810694467915</v>
      </c>
      <c r="AX17" s="93">
        <f>AX16/AX15</f>
        <v>0.5776089669270397</v>
      </c>
      <c r="AY17" s="46">
        <f>AY16/AY15</f>
        <v>0.5320589978091689</v>
      </c>
      <c r="AZ17" s="100"/>
      <c r="BA17" s="50">
        <f>BA16/BA15</f>
        <v>0.5945248770246956</v>
      </c>
      <c r="BB17" s="50">
        <f>BB16/BB15</f>
        <v>0.5964087092011509</v>
      </c>
      <c r="BC17" s="55">
        <f>BB17-BA17</f>
        <v>0.001883832176455269</v>
      </c>
      <c r="BD17" s="50">
        <f>BD16/BD15</f>
        <v>0.616184983422705</v>
      </c>
      <c r="BE17" s="50">
        <f>BE16/BE15</f>
        <v>0.6418615366893216</v>
      </c>
      <c r="BF17" s="50"/>
      <c r="BG17" s="95">
        <f t="shared" si="0"/>
        <v>0.025676553266616553</v>
      </c>
      <c r="BH17" s="50">
        <f>BH16/BH15</f>
        <v>0.6382275860550135</v>
      </c>
      <c r="BI17" s="50">
        <f>BI16/BI15</f>
        <v>0.7504348143373186</v>
      </c>
      <c r="BJ17" s="55"/>
      <c r="BK17" s="50">
        <f>BK16/BK15</f>
        <v>0.6164115002689962</v>
      </c>
      <c r="BL17" s="50">
        <f>BL16/BL15</f>
        <v>0.6616190665015106</v>
      </c>
      <c r="BM17" s="50"/>
      <c r="BN17" s="50">
        <f>BN16/BN15</f>
        <v>0.5878110488144995</v>
      </c>
      <c r="BO17" s="50">
        <f>BO16/BO15</f>
        <v>0.5604234959952029</v>
      </c>
      <c r="BP17" s="26"/>
    </row>
    <row r="18" spans="1:67" ht="15.75" customHeight="1">
      <c r="A18" s="18"/>
      <c r="B18" s="30"/>
      <c r="C18" s="31"/>
      <c r="D18" s="31"/>
      <c r="E18" s="31"/>
      <c r="F18" s="31"/>
      <c r="G18" s="77"/>
      <c r="H18" s="77"/>
      <c r="I18" s="78"/>
      <c r="J18" s="77"/>
      <c r="K18" s="77"/>
      <c r="L18" s="64"/>
      <c r="M18" s="64"/>
      <c r="N18" s="64"/>
      <c r="O18" s="64"/>
      <c r="P18" s="101"/>
      <c r="Q18" s="101"/>
      <c r="R18" s="101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52"/>
      <c r="AM18" s="52"/>
      <c r="AN18" s="52"/>
      <c r="AO18" s="52"/>
      <c r="AP18" s="102"/>
      <c r="AQ18" s="102"/>
      <c r="AR18" s="102"/>
      <c r="AS18" s="52"/>
      <c r="AT18" s="53"/>
      <c r="AU18" s="52"/>
      <c r="AV18" s="52"/>
      <c r="AW18" s="53"/>
      <c r="AX18" s="103"/>
      <c r="AY18" s="52"/>
      <c r="AZ18" s="52"/>
      <c r="BA18" s="52"/>
      <c r="BB18" s="52"/>
      <c r="BC18" s="55"/>
      <c r="BD18" s="52"/>
      <c r="BE18" s="52"/>
      <c r="BF18" s="52"/>
      <c r="BG18" s="55"/>
      <c r="BH18" s="52"/>
      <c r="BI18" s="52"/>
      <c r="BJ18" s="55"/>
      <c r="BK18" s="52"/>
      <c r="BL18" s="52"/>
      <c r="BM18" s="52"/>
      <c r="BN18" s="52"/>
      <c r="BO18" s="52"/>
    </row>
    <row r="19" spans="1:67" ht="25.5" customHeight="1">
      <c r="A19" s="34" t="s">
        <v>47</v>
      </c>
      <c r="B19" s="29" t="s">
        <v>25</v>
      </c>
      <c r="C19" s="22" t="s">
        <v>5</v>
      </c>
      <c r="D19" s="22">
        <v>4080</v>
      </c>
      <c r="E19" s="18">
        <v>3300</v>
      </c>
      <c r="F19" s="18"/>
      <c r="G19" s="70">
        <f>E19-D19</f>
        <v>-780</v>
      </c>
      <c r="H19" s="68">
        <v>3840</v>
      </c>
      <c r="I19" s="68">
        <f>3580</f>
        <v>3580</v>
      </c>
      <c r="J19" s="68">
        <f>I19-H19</f>
        <v>-260</v>
      </c>
      <c r="K19" s="73">
        <f>I19-H19</f>
        <v>-260</v>
      </c>
      <c r="L19" s="71">
        <v>3620</v>
      </c>
      <c r="M19" s="68">
        <f>3320</f>
        <v>3320</v>
      </c>
      <c r="N19" s="68"/>
      <c r="O19" s="67">
        <f>M19-L19</f>
        <v>-300</v>
      </c>
      <c r="P19" s="59">
        <f>D19+H19+L19</f>
        <v>11540</v>
      </c>
      <c r="Q19" s="57">
        <f>E19+I19+M19</f>
        <v>10200</v>
      </c>
      <c r="R19" s="57"/>
      <c r="S19" s="59">
        <v>3400</v>
      </c>
      <c r="T19" s="59">
        <v>3240</v>
      </c>
      <c r="U19" s="59"/>
      <c r="V19" s="81">
        <f>T19-S19</f>
        <v>-160</v>
      </c>
      <c r="W19" s="57">
        <v>4120</v>
      </c>
      <c r="X19" s="57">
        <v>4520</v>
      </c>
      <c r="Y19" s="57"/>
      <c r="Z19" s="83">
        <f>X19-W19</f>
        <v>400</v>
      </c>
      <c r="AA19" s="57">
        <v>3040</v>
      </c>
      <c r="AB19" s="82">
        <v>3040</v>
      </c>
      <c r="AC19" s="57"/>
      <c r="AD19" s="83">
        <f>AB19-AA19</f>
        <v>0</v>
      </c>
      <c r="AE19" s="57">
        <f>S19+W19+AA19</f>
        <v>10560</v>
      </c>
      <c r="AF19" s="82">
        <f>T19+X19+AB19</f>
        <v>10800</v>
      </c>
      <c r="AG19" s="82"/>
      <c r="AH19" s="59">
        <f>P19+AE19</f>
        <v>22100</v>
      </c>
      <c r="AI19" s="82">
        <f>Q19+AF19</f>
        <v>21000</v>
      </c>
      <c r="AJ19" s="59"/>
      <c r="AK19" s="83">
        <f>AI19-AH19</f>
        <v>-1100</v>
      </c>
      <c r="AL19" s="56">
        <v>3040</v>
      </c>
      <c r="AM19" s="49">
        <v>2560</v>
      </c>
      <c r="AN19" s="49"/>
      <c r="AO19" s="98">
        <f>AM19-AL19</f>
        <v>-480</v>
      </c>
      <c r="AP19" s="54">
        <v>3340</v>
      </c>
      <c r="AQ19" s="54">
        <v>2460</v>
      </c>
      <c r="AR19" s="92">
        <f>AQ19-AP19</f>
        <v>-880</v>
      </c>
      <c r="AS19" s="56">
        <v>4360</v>
      </c>
      <c r="AT19" s="49">
        <v>5380</v>
      </c>
      <c r="AU19" s="51">
        <f>AT19-AS19</f>
        <v>1020</v>
      </c>
      <c r="AV19" s="54">
        <f>AL19+AP19+AS19</f>
        <v>10740</v>
      </c>
      <c r="AW19" s="54">
        <f>AM19+AQ19+AT19</f>
        <v>10400</v>
      </c>
      <c r="AX19" s="90">
        <f>AH19+AV19</f>
        <v>32840</v>
      </c>
      <c r="AY19" s="54">
        <f>AW19+AI19</f>
        <v>31400</v>
      </c>
      <c r="AZ19" s="51">
        <f>AY19-AX19</f>
        <v>-1440</v>
      </c>
      <c r="BA19" s="49">
        <v>3700</v>
      </c>
      <c r="BB19" s="54">
        <v>4000</v>
      </c>
      <c r="BC19" s="55">
        <f>4000-BA19</f>
        <v>300</v>
      </c>
      <c r="BD19" s="54">
        <v>3780</v>
      </c>
      <c r="BE19" s="54">
        <v>4480</v>
      </c>
      <c r="BF19" s="49"/>
      <c r="BG19" s="55">
        <f t="shared" si="0"/>
        <v>700</v>
      </c>
      <c r="BH19" s="49">
        <v>4740</v>
      </c>
      <c r="BI19" s="49">
        <v>5200</v>
      </c>
      <c r="BJ19" s="55">
        <f>BI19-BH19</f>
        <v>460</v>
      </c>
      <c r="BK19" s="49">
        <f>BA19+BD19+BH19</f>
        <v>12220</v>
      </c>
      <c r="BL19" s="54">
        <f>BB19+BE19+BI19</f>
        <v>13680</v>
      </c>
      <c r="BM19" s="54"/>
      <c r="BN19" s="38">
        <f>BK19+AX19</f>
        <v>45060</v>
      </c>
      <c r="BO19" s="49">
        <f>AY19+BL19</f>
        <v>45080</v>
      </c>
    </row>
    <row r="20" spans="1:67" ht="46.5" customHeight="1">
      <c r="A20" s="35">
        <v>11</v>
      </c>
      <c r="B20" s="28" t="s">
        <v>48</v>
      </c>
      <c r="C20" s="23" t="s">
        <v>5</v>
      </c>
      <c r="D20" s="22">
        <f>D8+D12+D16+D19</f>
        <v>463382</v>
      </c>
      <c r="E20" s="18">
        <f>E8+E12+E16+E19</f>
        <v>497196</v>
      </c>
      <c r="F20" s="18"/>
      <c r="G20" s="79">
        <f>G8+G12+G16+G19</f>
        <v>33814</v>
      </c>
      <c r="H20" s="68">
        <f>H8+H12+H16+H19</f>
        <v>431325</v>
      </c>
      <c r="I20" s="68">
        <f>I8+I12+I16+I19</f>
        <v>508426</v>
      </c>
      <c r="J20" s="68">
        <f>I20-H20</f>
        <v>77101</v>
      </c>
      <c r="K20" s="69">
        <f>K8+K12+K16+K19</f>
        <v>77101</v>
      </c>
      <c r="L20" s="68">
        <f>L8+L12+L16+L19</f>
        <v>480278</v>
      </c>
      <c r="M20" s="68">
        <f>M8+M12+M16+M19</f>
        <v>520915</v>
      </c>
      <c r="N20" s="68"/>
      <c r="O20" s="67">
        <f>M20-L20</f>
        <v>40637</v>
      </c>
      <c r="P20" s="57">
        <f>P8+P12+P16+P19</f>
        <v>1374985</v>
      </c>
      <c r="Q20" s="57">
        <f>E20+I20+M20</f>
        <v>1526537</v>
      </c>
      <c r="R20" s="57"/>
      <c r="S20" s="59">
        <f>S8+S12+S16+S19</f>
        <v>508351</v>
      </c>
      <c r="T20" s="59">
        <f>T8+T12+T16+T19</f>
        <v>611926</v>
      </c>
      <c r="U20" s="59"/>
      <c r="V20" s="81">
        <f>V8+V12+V16+V19</f>
        <v>103575</v>
      </c>
      <c r="W20" s="59">
        <f>W8+W12+W16+W19</f>
        <v>442953</v>
      </c>
      <c r="X20" s="57">
        <f>X8+X12+X16+X19</f>
        <v>524673</v>
      </c>
      <c r="Y20" s="57"/>
      <c r="Z20" s="81">
        <f>Z8+Z12+Z16+Z19</f>
        <v>81720</v>
      </c>
      <c r="AA20" s="57">
        <f>AA8+AA12+AA16+AA19</f>
        <v>542424</v>
      </c>
      <c r="AB20" s="57">
        <f>AB8+AB12+AB16+AB19</f>
        <v>499185</v>
      </c>
      <c r="AC20" s="57"/>
      <c r="AD20" s="81">
        <f>AD8+AD12+AD16</f>
        <v>-43239</v>
      </c>
      <c r="AE20" s="57">
        <f>AE8+AE12+AE16+AE19</f>
        <v>1493728</v>
      </c>
      <c r="AF20" s="57">
        <f>T20+X20+AB20</f>
        <v>1635784</v>
      </c>
      <c r="AG20" s="57"/>
      <c r="AH20" s="59">
        <f>AH8+AH12+AH16+AH19</f>
        <v>2868713</v>
      </c>
      <c r="AI20" s="59">
        <f>Q20+AF20</f>
        <v>3162321</v>
      </c>
      <c r="AJ20" s="59"/>
      <c r="AK20" s="81">
        <f>AK8+AK12+AK16+AK19</f>
        <v>293608</v>
      </c>
      <c r="AL20" s="56">
        <f>AL8+AL12+AL16+AL19</f>
        <v>477433</v>
      </c>
      <c r="AM20" s="49">
        <f>AM8+AM12+AM16+AM19</f>
        <v>489707</v>
      </c>
      <c r="AN20" s="49"/>
      <c r="AO20" s="49">
        <f aca="true" t="shared" si="1" ref="AO20:AT20">AO8+AO12+AO16+AO19</f>
        <v>12274</v>
      </c>
      <c r="AP20" s="54">
        <f t="shared" si="1"/>
        <v>456606</v>
      </c>
      <c r="AQ20" s="54">
        <f t="shared" si="1"/>
        <v>598199</v>
      </c>
      <c r="AR20" s="86">
        <f t="shared" si="1"/>
        <v>141593</v>
      </c>
      <c r="AS20" s="54">
        <f t="shared" si="1"/>
        <v>464876</v>
      </c>
      <c r="AT20" s="49">
        <f t="shared" si="1"/>
        <v>497451</v>
      </c>
      <c r="AU20" s="55">
        <f aca="true" t="shared" si="2" ref="AU20:BB20">AU8+AU12+AU16+AU19</f>
        <v>32575</v>
      </c>
      <c r="AV20" s="54">
        <f t="shared" si="2"/>
        <v>1398915</v>
      </c>
      <c r="AW20" s="54">
        <f t="shared" si="2"/>
        <v>1585357</v>
      </c>
      <c r="AX20" s="90">
        <f t="shared" si="2"/>
        <v>4267628</v>
      </c>
      <c r="AY20" s="54">
        <f t="shared" si="2"/>
        <v>4747678</v>
      </c>
      <c r="AZ20" s="55">
        <f t="shared" si="2"/>
        <v>480050</v>
      </c>
      <c r="BA20" s="49">
        <f t="shared" si="2"/>
        <v>480335</v>
      </c>
      <c r="BB20" s="54">
        <f t="shared" si="2"/>
        <v>515192</v>
      </c>
      <c r="BC20" s="55">
        <f>BB20-BA20</f>
        <v>34857</v>
      </c>
      <c r="BD20" s="54">
        <f>BD8+BD12+BD16+BD19</f>
        <v>510115</v>
      </c>
      <c r="BE20" s="54">
        <f>BE8+BE12+BE16+BE19</f>
        <v>521735</v>
      </c>
      <c r="BF20" s="49"/>
      <c r="BG20" s="55">
        <f t="shared" si="0"/>
        <v>11620</v>
      </c>
      <c r="BH20" s="49">
        <f aca="true" t="shared" si="3" ref="BH20:BO20">BH8+BH12+BH16+BH19</f>
        <v>517414</v>
      </c>
      <c r="BI20" s="54">
        <f t="shared" si="3"/>
        <v>545786</v>
      </c>
      <c r="BJ20" s="55">
        <f>BI20-BH20</f>
        <v>28372</v>
      </c>
      <c r="BK20" s="54">
        <f t="shared" si="3"/>
        <v>1507864</v>
      </c>
      <c r="BL20" s="54">
        <f t="shared" si="3"/>
        <v>1582713</v>
      </c>
      <c r="BM20" s="54"/>
      <c r="BN20" s="49">
        <f t="shared" si="3"/>
        <v>5775492</v>
      </c>
      <c r="BO20" s="49">
        <f t="shared" si="3"/>
        <v>6330391</v>
      </c>
    </row>
    <row r="21" spans="4:67" ht="15.75" customHeight="1">
      <c r="D21" s="13"/>
      <c r="E21" s="13"/>
      <c r="F21" s="13"/>
      <c r="G21" s="15"/>
      <c r="O21" s="12"/>
      <c r="Q21" s="12"/>
      <c r="R21" s="12"/>
      <c r="AE21" s="12"/>
      <c r="AK21" s="12"/>
      <c r="AR21" s="12"/>
      <c r="AX21" s="12"/>
      <c r="AY21" s="12"/>
      <c r="AZ21" s="12"/>
      <c r="BD21" s="12"/>
      <c r="BE21" s="12"/>
      <c r="BF21" s="12"/>
      <c r="BG21" s="12"/>
      <c r="BK21" s="12"/>
      <c r="BL21" s="12"/>
      <c r="BM21" s="12"/>
      <c r="BN21" s="12"/>
      <c r="BO21" s="12"/>
    </row>
    <row r="22" spans="2:67" ht="15.75" customHeight="1">
      <c r="B22" s="36" t="s">
        <v>35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X22" s="12"/>
      <c r="AY22" s="12"/>
      <c r="AZ22" s="12"/>
      <c r="BK22" s="12"/>
      <c r="BL22" s="12"/>
      <c r="BM22" s="12"/>
      <c r="BN22" s="12"/>
      <c r="BO22" s="12"/>
    </row>
    <row r="23" spans="26:67" ht="15.75" customHeight="1">
      <c r="Z23" s="12"/>
      <c r="AI23" s="12">
        <f>AI20-AI19</f>
        <v>3141321</v>
      </c>
      <c r="AK23" s="12"/>
      <c r="AU23" s="3">
        <f>332040-AT8</f>
        <v>-18040</v>
      </c>
      <c r="BC23" s="12"/>
      <c r="BJ23" s="12"/>
      <c r="BN23" s="14"/>
      <c r="BO23" s="14"/>
    </row>
    <row r="24" spans="2:67" ht="15.75" customHeight="1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3">
        <f>AI8+AI12+AI16+AI19</f>
        <v>3162321</v>
      </c>
      <c r="AJ24" s="13"/>
      <c r="AM24" s="3">
        <f>5593942/AH8</f>
        <v>3.185325938411079</v>
      </c>
      <c r="AQ24" s="3">
        <f>AI20+AM20+AQ20+480236</f>
        <v>4730463</v>
      </c>
      <c r="BH24" s="16"/>
      <c r="BI24" s="16"/>
      <c r="BJ24" s="1"/>
      <c r="BN24" s="12"/>
      <c r="BO24" s="12"/>
    </row>
    <row r="25" ht="15.75" customHeight="1">
      <c r="K25" s="12"/>
    </row>
    <row r="26" spans="9:55" ht="15.75" customHeight="1">
      <c r="I26" s="14"/>
      <c r="N26" s="3">
        <f>N25+1189</f>
        <v>1189</v>
      </c>
      <c r="AZ26" s="12"/>
      <c r="BA26" s="12"/>
      <c r="BB26" s="12"/>
      <c r="BC26" s="12"/>
    </row>
    <row r="27" spans="53:55" ht="15.75" customHeight="1">
      <c r="BA27" s="12"/>
      <c r="BB27" s="12"/>
      <c r="BC27" s="12"/>
    </row>
    <row r="28" spans="53:55" ht="15.75" customHeight="1">
      <c r="BA28" s="12"/>
      <c r="BB28" s="12"/>
      <c r="BC28" s="12"/>
    </row>
    <row r="34" ht="15.75" customHeight="1">
      <c r="K34" s="17"/>
    </row>
    <row r="37" spans="18:19" ht="15.75" customHeight="1">
      <c r="R37" s="3">
        <v>200000</v>
      </c>
      <c r="S37" s="3" t="e">
        <f>R37-#REF!</f>
        <v>#REF!</v>
      </c>
    </row>
    <row r="38" spans="18:19" ht="15.75" customHeight="1">
      <c r="R38" s="3">
        <v>772000</v>
      </c>
      <c r="S38" s="3" t="e">
        <f>R38-#REF!</f>
        <v>#REF!</v>
      </c>
    </row>
    <row r="39" spans="18:22" ht="15.75" customHeight="1">
      <c r="R39" s="3">
        <f>R38/R37</f>
        <v>3.86</v>
      </c>
      <c r="T39" s="3" t="e">
        <f>#REF!*R39</f>
        <v>#REF!</v>
      </c>
      <c r="V39" s="3" t="e">
        <f>R38-T39</f>
        <v>#REF!</v>
      </c>
    </row>
    <row r="40" ht="15.75" customHeight="1">
      <c r="V40" s="3" t="e">
        <f>V39/S37</f>
        <v>#REF!</v>
      </c>
    </row>
  </sheetData>
  <sheetProtection/>
  <mergeCells count="30">
    <mergeCell ref="AL5:AO5"/>
    <mergeCell ref="B1:AG1"/>
    <mergeCell ref="B3:AG3"/>
    <mergeCell ref="A5:A6"/>
    <mergeCell ref="B5:B6"/>
    <mergeCell ref="C5:C6"/>
    <mergeCell ref="D5:G5"/>
    <mergeCell ref="H5:K5"/>
    <mergeCell ref="L5:O5"/>
    <mergeCell ref="P5:R5"/>
    <mergeCell ref="AS5:AU5"/>
    <mergeCell ref="AV5:AW5"/>
    <mergeCell ref="AX5:AZ5"/>
    <mergeCell ref="BD5:BG5"/>
    <mergeCell ref="BH5:BJ5"/>
    <mergeCell ref="S5:T5"/>
    <mergeCell ref="W5:Z5"/>
    <mergeCell ref="AA5:AD5"/>
    <mergeCell ref="AE5:AG5"/>
    <mergeCell ref="AH5:AK5"/>
    <mergeCell ref="S18:AK18"/>
    <mergeCell ref="B24:AH24"/>
    <mergeCell ref="B2:AW2"/>
    <mergeCell ref="BK5:BM5"/>
    <mergeCell ref="BN5:BO5"/>
    <mergeCell ref="S10:AK10"/>
    <mergeCell ref="AP10:AR10"/>
    <mergeCell ref="S14:AK14"/>
    <mergeCell ref="AP14:AR14"/>
    <mergeCell ref="AP5:AR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2017-03-21T03:02:42Z</cp:lastPrinted>
  <dcterms:created xsi:type="dcterms:W3CDTF">2012-03-11T02:59:13Z</dcterms:created>
  <dcterms:modified xsi:type="dcterms:W3CDTF">2017-03-21T09:21:47Z</dcterms:modified>
  <cp:category/>
  <cp:version/>
  <cp:contentType/>
  <cp:contentStatus/>
</cp:coreProperties>
</file>